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<sst xmlns="http://schemas.openxmlformats.org/spreadsheetml/2006/main" count="1600" uniqueCount="315">
  <si>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</si>
  <si>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</si>
  <si>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</si>
  <si>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</si>
  <si>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</si>
  <si>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</si>
  <si>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</si>
  <si>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</si>
  <si>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</si>
  <si>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</si>
  <si>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</si>
  <si>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</si>
  <si>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</si>
  <si>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</si>
  <si>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</si>
  <si>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</si>
  <si>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</si>
  <si>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</si>
  <si>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</si>
  <si>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</si>
  <si>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</si>
  <si>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</si>
  <si>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</si>
  <si>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</si>
  <si>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</si>
  <si>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</si>
  <si>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</si>
  <si>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</si>
  <si>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</si>
  <si>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</si>
  <si>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</si>
  <si>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</si>
  <si>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</si>
  <si>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</si>
  <si>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</si>
  <si>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</si>
  <si>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</si>
  <si>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</si>
  <si>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</si>
  <si>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</si>
  <si>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</si>
  <si>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</si>
  <si>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</si>
  <si>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</si>
  <si>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</si>
  <si>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</si>
  <si>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</si>
  <si>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</si>
  <si>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</si>
  <si>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</si>
  <si>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</si>
  <si>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</si>
  <si>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</si>
  <si>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</si>
  <si>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</si>
  <si>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</si>
  <si>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</si>
  <si>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</si>
  <si>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</si>
  <si>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</si>
  <si>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</si>
  <si>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</si>
  <si>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</si>
  <si>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</si>
  <si>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</si>
  <si>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</si>
  <si>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</si>
  <si>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</si>
  <si>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</si>
  <si>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</si>
  <si>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</si>
  <si>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</si>
  <si>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</si>
  <si>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</si>
  <si>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</si>
  <si>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</si>
  <si>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</si>
  <si>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</si>
  <si>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</si>
  <si>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</si>
  <si>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</si>
  <si>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</si>
  <si>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</si>
  <si>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</si>
  <si>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</si>
  <si>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</si>
  <si>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</si>
  <si>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</si>
  <si>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</si>
  <si>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</si>
  <si>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</si>
  <si>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</si>
  <si>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</si>
  <si>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</si>
  <si>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</si>
  <si>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</si>
  <si>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</si>
  <si>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</si>
  <si>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</si>
  <si>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</si>
  <si>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</si>
  <si>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</si>
  <si>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</si>
  <si>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</si>
  <si>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</si>
  <si>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</si>
  <si>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</si>
  <si>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</si>
  <si>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</si>
  <si>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</si>
  <si>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</si>
  <si>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</si>
  <si>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</si>
  <si>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</si>
  <si>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</si>
  <si>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</si>
  <si>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</si>
  <si>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</si>
  <si>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</si>
  <si>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</si>
  <si>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</si>
  <si>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</si>
  <si>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</si>
  <si>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</si>
  <si>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</si>
  <si>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</si>
  <si>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</si>
  <si>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</si>
  <si>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</si>
  <si>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</si>
  <si>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</si>
  <si>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</si>
  <si>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</si>
  <si>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</si>
  <si>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</si>
  <si>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</si>
  <si>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</si>
  <si>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</si>
  <si>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</si>
  <si>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</si>
  <si>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</si>
  <si>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</si>
  <si>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</si>
  <si>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</si>
  <si>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</si>
  <si>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</si>
  <si>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</si>
  <si>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</si>
  <si>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</si>
  <si>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</si>
  <si>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</si>
  <si>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</si>
  <si>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</si>
  <si>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</si>
  <si>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</si>
  <si>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</si>
  <si>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</si>
  <si>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</si>
  <si>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</si>
  <si>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</si>
  <si>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</si>
  <si>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</si>
  <si>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</si>
  <si>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</si>
  <si>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</si>
  <si>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</si>
  <si>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</si>
  <si>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</si>
  <si>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</si>
  <si>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</si>
  <si>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</si>
  <si>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</si>
  <si>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</si>
  <si>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</si>
  <si>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</si>
  <si>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</si>
  <si>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</si>
  <si>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</si>
  <si>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</si>
  <si>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</si>
  <si>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</si>
  <si>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</si>
  <si>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</si>
  <si>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</si>
  <si>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</si>
  <si>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</si>
  <si>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</si>
  <si>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</si>
  <si>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</si>
  <si>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</si>
  <si>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</si>
  <si>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</si>
  <si>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</si>
  <si>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</si>
  <si>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</si>
  <si>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</si>
  <si>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</si>
  <si>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</si>
  <si>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</si>
  <si>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</si>
  <si>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</si>
  <si>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</si>
  <si>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</si>
  <si>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</si>
  <si>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</si>
  <si>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</si>
  <si>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</si>
  <si>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</si>
  <si>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</si>
  <si>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</si>
  <si>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</si>
  <si>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</si>
  <si>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</si>
  <si>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</si>
  <si>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</si>
  <si>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</si>
  <si>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</si>
  <si>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</si>
  <si>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</si>
  <si>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</si>
  <si>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</si>
  <si>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</si>
  <si>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</si>
  <si>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</si>
  <si>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</si>
  <si>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</si>
  <si>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</si>
  <si>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</si>
  <si>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</si>
  <si>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</si>
  <si>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</si>
  <si>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</si>
  <si>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</si>
  <si>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</si>
  <si>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</si>
  <si>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</si>
  <si>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</si>
  <si>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</si>
  <si>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</si>
  <si>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</si>
  <si>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</si>
  <si>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</si>
  <si>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</si>
  <si>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</si>
  <si>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</si>
  <si>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</si>
  <si>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</si>
  <si>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</si>
  <si>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</si>
  <si>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</si>
  <si>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</si>
  <si>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</si>
  <si>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</si>
  <si>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</si>
  <si>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</si>
  <si>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</si>
  <si>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</si>
  <si>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</si>
  <si>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</si>
  <si>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</si>
  <si>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</si>
  <si>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</si>
  <si>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</si>
  <si>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</si>
  <si>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</si>
  <si>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</si>
  <si>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</si>
  <si>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</si>
  <si>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</si>
  <si>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</si>
  <si>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</si>
  <si>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</si>
  <si>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</si>
  <si>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</si>
  <si>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</si>
  <si>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</si>
  <si>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</si>
  <si>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</si>
  <si>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</si>
  <si>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</si>
  <si>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</si>
  <si>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</si>
  <si>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</si>
  <si>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</si>
  <si>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</si>
  <si>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</si>
  <si>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</si>
  <si>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</si>
  <si>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</si>
  <si>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</si>
  <si>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</si>
  <si>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</si>
  <si>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</si>
  <si>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</si>
  <si>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</si>
  <si>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</si>
  <si>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</si>
  <si>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</si>
  <si>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</si>
  <si>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</si>
  <si>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</si>
  <si>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</si>
  <si>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</si>
  <si>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</si>
  <si>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</si>
  <si>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</si>
  <si>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</si>
  <si>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</si>
  <si>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</si>
  <si>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</si>
  <si>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</si>
  <si>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</si>
  <si>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</si>
  <si>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</si>
  <si>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26.10.15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</si>
</sst>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313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311</v>
      </c>
      <c r="N3" s="262" t="s">
        <v>312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307</v>
      </c>
      <c r="F4" s="245" t="s">
        <v>116</v>
      </c>
      <c r="G4" s="247" t="s">
        <v>308</v>
      </c>
      <c r="H4" s="249" t="s">
        <v>309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314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310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520784.98000000004</v>
      </c>
      <c r="G8" s="18">
        <f aca="true" t="shared" si="0" ref="G8:G54">F8-E8</f>
        <v>17259.51000000001</v>
      </c>
      <c r="H8" s="45">
        <f>F8/E8*100</f>
        <v>103.4277332584586</v>
      </c>
      <c r="I8" s="31">
        <f aca="true" t="shared" si="1" ref="I8:I54">F8-D8</f>
        <v>-51504.01999999996</v>
      </c>
      <c r="J8" s="31">
        <f aca="true" t="shared" si="2" ref="J8:J14">F8/D8*100</f>
        <v>91.00034772641096</v>
      </c>
      <c r="K8" s="18">
        <f>K9+K15+K18+K19+K20+K32</f>
        <v>119560.13800000002</v>
      </c>
      <c r="L8" s="18"/>
      <c r="M8" s="18">
        <f>M9+M15+M18+M19+M20+M32+M17</f>
        <v>44772.97000000001</v>
      </c>
      <c r="N8" s="18">
        <f>N9+N15+N18+N19+N20+N32+N17</f>
        <v>39905.730000000054</v>
      </c>
      <c r="O8" s="31">
        <f aca="true" t="shared" si="3" ref="O8:O54">N8-M8</f>
        <v>-4867.239999999954</v>
      </c>
      <c r="P8" s="31">
        <f>F8/M8*100</f>
        <v>1163.1682687121267</v>
      </c>
      <c r="Q8" s="31">
        <f>N8-33748.16</f>
        <v>6157.570000000051</v>
      </c>
      <c r="R8" s="125">
        <f>N8/33748.16</f>
        <v>1.182456465774728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288639.71</v>
      </c>
      <c r="G9" s="43">
        <f t="shared" si="0"/>
        <v>18774.590000000026</v>
      </c>
      <c r="H9" s="35">
        <f aca="true" t="shared" si="4" ref="H9:H32">F9/E9*100</f>
        <v>106.95702727347647</v>
      </c>
      <c r="I9" s="50">
        <f t="shared" si="1"/>
        <v>-24050.28999999998</v>
      </c>
      <c r="J9" s="50">
        <f t="shared" si="2"/>
        <v>92.30858358118265</v>
      </c>
      <c r="K9" s="132">
        <f>F9-316022.19/75*60</f>
        <v>35821.95800000001</v>
      </c>
      <c r="L9" s="132">
        <f>F9/(316022.19/75*60)*100</f>
        <v>114.16908334822944</v>
      </c>
      <c r="M9" s="35">
        <f>E9-вересень!E9</f>
        <v>21250.570000000007</v>
      </c>
      <c r="N9" s="35">
        <f>F9-вересень!F9</f>
        <v>24264.300000000047</v>
      </c>
      <c r="O9" s="47">
        <f t="shared" si="3"/>
        <v>3013.7300000000396</v>
      </c>
      <c r="P9" s="50">
        <f aca="true" t="shared" si="5" ref="P9:P32">N9/M9*100</f>
        <v>114.18187841549681</v>
      </c>
      <c r="Q9" s="132">
        <f>N9-26568.11</f>
        <v>-2303.809999999954</v>
      </c>
      <c r="R9" s="133">
        <f>N9/26568.11</f>
        <v>0.9132866432727073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255285.7</v>
      </c>
      <c r="G10" s="135">
        <f t="shared" si="0"/>
        <v>19324.880000000005</v>
      </c>
      <c r="H10" s="137">
        <f t="shared" si="4"/>
        <v>108.18986813149742</v>
      </c>
      <c r="I10" s="136">
        <f t="shared" si="1"/>
        <v>14875.700000000012</v>
      </c>
      <c r="J10" s="136">
        <f t="shared" si="2"/>
        <v>106.18763778544987</v>
      </c>
      <c r="K10" s="138">
        <f>F10-281171.58/75*60</f>
        <v>30348.436000000016</v>
      </c>
      <c r="L10" s="138">
        <f>F10/(281171.58/75*60)*100</f>
        <v>113.49195569481098</v>
      </c>
      <c r="M10" s="137">
        <f>E10-вересень!E10</f>
        <v>17470.570000000007</v>
      </c>
      <c r="N10" s="137">
        <f>F10-вересень!F10</f>
        <v>21349.22</v>
      </c>
      <c r="O10" s="138">
        <f t="shared" si="3"/>
        <v>3878.649999999994</v>
      </c>
      <c r="P10" s="136">
        <f t="shared" si="5"/>
        <v>122.20105010884015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15651.73</v>
      </c>
      <c r="G11" s="135">
        <f t="shared" si="0"/>
        <v>-3266.170000000002</v>
      </c>
      <c r="H11" s="137">
        <f t="shared" si="4"/>
        <v>82.73502872940442</v>
      </c>
      <c r="I11" s="136">
        <f t="shared" si="1"/>
        <v>-8048.27</v>
      </c>
      <c r="J11" s="136">
        <f t="shared" si="2"/>
        <v>66.04105485232067</v>
      </c>
      <c r="K11" s="138">
        <f>F11-21169.22/75*60</f>
        <v>-1283.6460000000043</v>
      </c>
      <c r="L11" s="138">
        <f>F11/(21169.22/75*60)*100</f>
        <v>92.42032772109692</v>
      </c>
      <c r="M11" s="137">
        <f>E11-вересень!E11</f>
        <v>2130</v>
      </c>
      <c r="N11" s="137">
        <f>F11-вересень!F11</f>
        <v>1649.039999999999</v>
      </c>
      <c r="O11" s="138">
        <f t="shared" si="3"/>
        <v>-480.96000000000095</v>
      </c>
      <c r="P11" s="136">
        <f t="shared" si="5"/>
        <v>77.4197183098591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4144.02</v>
      </c>
      <c r="G12" s="135">
        <f t="shared" si="0"/>
        <v>-304.97999999999956</v>
      </c>
      <c r="H12" s="137">
        <f t="shared" si="4"/>
        <v>93.14497639919084</v>
      </c>
      <c r="I12" s="136">
        <f t="shared" si="1"/>
        <v>-1655.9799999999996</v>
      </c>
      <c r="J12" s="136">
        <f t="shared" si="2"/>
        <v>71.44862068965519</v>
      </c>
      <c r="K12" s="138">
        <f>F12-5687.46/75*60</f>
        <v>-405.9480000000003</v>
      </c>
      <c r="L12" s="138">
        <f>F12/(5687.46*60)*100</f>
        <v>1.214373375812753</v>
      </c>
      <c r="M12" s="137">
        <f>E12-вересень!E12</f>
        <v>540</v>
      </c>
      <c r="N12" s="137">
        <f>F12-вересень!F12</f>
        <v>399.38000000000056</v>
      </c>
      <c r="O12" s="138">
        <f t="shared" si="3"/>
        <v>-140.61999999999944</v>
      </c>
      <c r="P12" s="136">
        <f t="shared" si="5"/>
        <v>73.95925925925937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5995.28</v>
      </c>
      <c r="G13" s="135">
        <f t="shared" si="0"/>
        <v>-948.1199999999999</v>
      </c>
      <c r="H13" s="137">
        <f t="shared" si="4"/>
        <v>86.34501829075093</v>
      </c>
      <c r="I13" s="136">
        <f t="shared" si="1"/>
        <v>-2404.7200000000003</v>
      </c>
      <c r="J13" s="136">
        <f t="shared" si="2"/>
        <v>71.37238095238095</v>
      </c>
      <c r="K13" s="138">
        <f>F13-7878.81/75*60</f>
        <v>-307.76800000000094</v>
      </c>
      <c r="L13" s="138">
        <f>F13/(7878.81/75*60)*100</f>
        <v>95.11715601721579</v>
      </c>
      <c r="M13" s="137">
        <f>E13-вересень!E13</f>
        <v>720</v>
      </c>
      <c r="N13" s="137">
        <f>F13-вересень!F13</f>
        <v>265.03999999999996</v>
      </c>
      <c r="O13" s="138">
        <f t="shared" si="3"/>
        <v>-454.96000000000004</v>
      </c>
      <c r="P13" s="136">
        <f t="shared" si="5"/>
        <v>36.8111111111111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-606.6</v>
      </c>
      <c r="G15" s="43">
        <f t="shared" si="0"/>
        <v>-778</v>
      </c>
      <c r="H15" s="35"/>
      <c r="I15" s="50">
        <f t="shared" si="1"/>
        <v>-606.6</v>
      </c>
      <c r="J15" s="50" t="e">
        <f>F15/D15*100</f>
        <v>#DIV/0!</v>
      </c>
      <c r="K15" s="53">
        <f>F15-(-880.89)</f>
        <v>274.28999999999996</v>
      </c>
      <c r="L15" s="53">
        <f>F15/(-880.89)*100</f>
        <v>68.86217348363587</v>
      </c>
      <c r="M15" s="35">
        <f>E15-вересень!E15</f>
        <v>0</v>
      </c>
      <c r="N15" s="35">
        <f>F15-вересень!F15</f>
        <v>60.09000000000003</v>
      </c>
      <c r="O15" s="47">
        <f t="shared" si="3"/>
        <v>60.09000000000003</v>
      </c>
      <c r="P15" s="50"/>
      <c r="Q15" s="50">
        <f>N15-358.81</f>
        <v>-298.71999999999997</v>
      </c>
      <c r="R15" s="126">
        <f>N15/358.81</f>
        <v>0.16747024887823647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53192.75</v>
      </c>
      <c r="G19" s="43">
        <f t="shared" si="0"/>
        <v>-4330</v>
      </c>
      <c r="H19" s="35">
        <f t="shared" si="4"/>
        <v>92.47254347193066</v>
      </c>
      <c r="I19" s="50">
        <f t="shared" si="1"/>
        <v>-9017.25</v>
      </c>
      <c r="J19" s="178">
        <f>F19/D19*100</f>
        <v>85.50514386754541</v>
      </c>
      <c r="K19" s="179">
        <f>F19-0</f>
        <v>53192.75</v>
      </c>
      <c r="L19" s="180"/>
      <c r="M19" s="35">
        <f>E19-вересень!E19</f>
        <v>6800</v>
      </c>
      <c r="N19" s="35">
        <f>F19-вересень!F19</f>
        <v>1723.8799999999974</v>
      </c>
      <c r="O19" s="47">
        <f t="shared" si="3"/>
        <v>-5076.120000000003</v>
      </c>
      <c r="P19" s="50">
        <f t="shared" si="5"/>
        <v>25.3511764705882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173956.34</v>
      </c>
      <c r="G20" s="43">
        <f t="shared" si="0"/>
        <v>3762.4400000000023</v>
      </c>
      <c r="H20" s="35">
        <f t="shared" si="4"/>
        <v>102.21067852608114</v>
      </c>
      <c r="I20" s="50">
        <f t="shared" si="1"/>
        <v>-15913.660000000003</v>
      </c>
      <c r="J20" s="178">
        <f aca="true" t="shared" si="6" ref="J20:J46">F20/D20*100</f>
        <v>91.61865486912097</v>
      </c>
      <c r="K20" s="178">
        <f>K21+K25+K26+K27</f>
        <v>32050.770000000004</v>
      </c>
      <c r="L20" s="136"/>
      <c r="M20" s="35">
        <f>E20-вересень!E20</f>
        <v>16715.5</v>
      </c>
      <c r="N20" s="35">
        <f>F20-вересень!F20</f>
        <v>13849.75</v>
      </c>
      <c r="O20" s="47">
        <f t="shared" si="3"/>
        <v>-2865.75</v>
      </c>
      <c r="P20" s="50">
        <f t="shared" si="5"/>
        <v>82.85573270317968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94104.26</v>
      </c>
      <c r="G21" s="43">
        <f t="shared" si="0"/>
        <v>-2178.1399999999994</v>
      </c>
      <c r="H21" s="35">
        <f t="shared" si="4"/>
        <v>97.73775892582653</v>
      </c>
      <c r="I21" s="50">
        <f t="shared" si="1"/>
        <v>-16195.740000000005</v>
      </c>
      <c r="J21" s="178">
        <f t="shared" si="6"/>
        <v>85.31664551223935</v>
      </c>
      <c r="K21" s="178">
        <f>K22+K23+K24</f>
        <v>25400.42</v>
      </c>
      <c r="L21" s="136"/>
      <c r="M21" s="35">
        <f>E21-вересень!E21</f>
        <v>10382</v>
      </c>
      <c r="N21" s="35">
        <f>F21-вересень!F21</f>
        <v>5124.940000000002</v>
      </c>
      <c r="O21" s="47">
        <f t="shared" si="3"/>
        <v>-5257.059999999998</v>
      </c>
      <c r="P21" s="50">
        <f t="shared" si="5"/>
        <v>49.36370641494897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10822.93</v>
      </c>
      <c r="G22" s="135">
        <f t="shared" si="0"/>
        <v>177.53000000000065</v>
      </c>
      <c r="H22" s="137">
        <f t="shared" si="4"/>
        <v>101.66766866439964</v>
      </c>
      <c r="I22" s="136">
        <f t="shared" si="1"/>
        <v>122.93000000000029</v>
      </c>
      <c r="J22" s="136">
        <f t="shared" si="6"/>
        <v>101.1488785046729</v>
      </c>
      <c r="K22" s="136">
        <f>F22-437</f>
        <v>10385.93</v>
      </c>
      <c r="L22" s="136">
        <f>F22/437*100</f>
        <v>2476.6430205949655</v>
      </c>
      <c r="M22" s="137">
        <f>E22-вересень!E22</f>
        <v>1851</v>
      </c>
      <c r="N22" s="137">
        <f>F22-вересень!F22</f>
        <v>1691.25</v>
      </c>
      <c r="O22" s="138">
        <f t="shared" si="3"/>
        <v>-159.75</v>
      </c>
      <c r="P22" s="136">
        <f t="shared" si="5"/>
        <v>91.36952998379255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3458.54</v>
      </c>
      <c r="G23" s="135">
        <f t="shared" si="0"/>
        <v>1366.54</v>
      </c>
      <c r="H23" s="137">
        <f t="shared" si="4"/>
        <v>165.32217973231357</v>
      </c>
      <c r="I23" s="136">
        <f t="shared" si="1"/>
        <v>1358.54</v>
      </c>
      <c r="J23" s="136">
        <f t="shared" si="6"/>
        <v>164.69238095238094</v>
      </c>
      <c r="K23" s="136">
        <f>F23-0</f>
        <v>3458.54</v>
      </c>
      <c r="L23" s="136"/>
      <c r="M23" s="137">
        <f>E23-вересень!E23</f>
        <v>305</v>
      </c>
      <c r="N23" s="137">
        <f>F23-вересень!F23</f>
        <v>124.90999999999985</v>
      </c>
      <c r="O23" s="138">
        <f t="shared" si="3"/>
        <v>-180.09000000000015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79822.79</v>
      </c>
      <c r="G24" s="135">
        <f t="shared" si="0"/>
        <v>-3722.2100000000064</v>
      </c>
      <c r="H24" s="137">
        <f t="shared" si="4"/>
        <v>95.54466455203782</v>
      </c>
      <c r="I24" s="136">
        <f t="shared" si="1"/>
        <v>-17677.210000000006</v>
      </c>
      <c r="J24" s="136">
        <f t="shared" si="6"/>
        <v>81.86952820512819</v>
      </c>
      <c r="K24" s="224">
        <f>F24-68266.84</f>
        <v>11555.949999999997</v>
      </c>
      <c r="L24" s="224">
        <f>F24/68266.84*100</f>
        <v>116.92761815253203</v>
      </c>
      <c r="M24" s="137">
        <f>E24-вересень!E24</f>
        <v>8226</v>
      </c>
      <c r="N24" s="137">
        <f>F24-вересень!F24</f>
        <v>3308.779999999999</v>
      </c>
      <c r="O24" s="138">
        <f t="shared" si="3"/>
        <v>-4917.220000000001</v>
      </c>
      <c r="P24" s="136">
        <f t="shared" si="5"/>
        <v>40.22343787989301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56.58</v>
      </c>
      <c r="G25" s="43">
        <f t="shared" si="0"/>
        <v>5.079999999999998</v>
      </c>
      <c r="H25" s="35">
        <f t="shared" si="4"/>
        <v>109.86407766990291</v>
      </c>
      <c r="I25" s="50">
        <f t="shared" si="1"/>
        <v>-13.420000000000002</v>
      </c>
      <c r="J25" s="178">
        <f t="shared" si="6"/>
        <v>80.82857142857142</v>
      </c>
      <c r="K25" s="178">
        <f>F25-48.79</f>
        <v>7.789999999999999</v>
      </c>
      <c r="L25" s="178">
        <f>F25/48.79*100</f>
        <v>115.96638655462183</v>
      </c>
      <c r="M25" s="35">
        <f>E25-вересень!E25</f>
        <v>10</v>
      </c>
      <c r="N25" s="35">
        <f>F25-вересень!F25</f>
        <v>0.7299999999999969</v>
      </c>
      <c r="O25" s="47">
        <f t="shared" si="3"/>
        <v>-9.270000000000003</v>
      </c>
      <c r="P25" s="50">
        <f t="shared" si="5"/>
        <v>7.299999999999969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-738.02</v>
      </c>
      <c r="G26" s="43">
        <f t="shared" si="0"/>
        <v>-738.02</v>
      </c>
      <c r="H26" s="35"/>
      <c r="I26" s="50">
        <f t="shared" si="1"/>
        <v>-738.02</v>
      </c>
      <c r="J26" s="136"/>
      <c r="K26" s="178">
        <f>F26-5295.66</f>
        <v>-6033.68</v>
      </c>
      <c r="L26" s="178">
        <f>F26/5295.66*100</f>
        <v>-13.936317663898363</v>
      </c>
      <c r="M26" s="35">
        <f>E26-вересень!E26</f>
        <v>0</v>
      </c>
      <c r="N26" s="35">
        <f>F26-вересень!F26</f>
        <v>-32.039999999999964</v>
      </c>
      <c r="O26" s="47">
        <f t="shared" si="3"/>
        <v>-32.039999999999964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80533.52</v>
      </c>
      <c r="G27" s="43">
        <f t="shared" si="0"/>
        <v>6673.520000000004</v>
      </c>
      <c r="H27" s="35">
        <f t="shared" si="4"/>
        <v>109.03536420254537</v>
      </c>
      <c r="I27" s="50">
        <f t="shared" si="1"/>
        <v>1033.520000000004</v>
      </c>
      <c r="J27" s="178">
        <f t="shared" si="6"/>
        <v>101.30002515723271</v>
      </c>
      <c r="K27" s="132">
        <f>F27-67857.28</f>
        <v>12676.240000000005</v>
      </c>
      <c r="L27" s="132">
        <f>F27/67857.28*100</f>
        <v>118.68073698208947</v>
      </c>
      <c r="M27" s="35">
        <f>E27-вересень!E27</f>
        <v>6323.5</v>
      </c>
      <c r="N27" s="35">
        <f>F27-вересень!F27</f>
        <v>8756.12000000001</v>
      </c>
      <c r="O27" s="47">
        <f t="shared" si="3"/>
        <v>2432.62000000001</v>
      </c>
      <c r="P27" s="50">
        <f t="shared" si="5"/>
        <v>138.46951846287672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19050.72</v>
      </c>
      <c r="G29" s="135">
        <f t="shared" si="0"/>
        <v>970.7200000000012</v>
      </c>
      <c r="H29" s="137">
        <f t="shared" si="4"/>
        <v>105.36902654867258</v>
      </c>
      <c r="I29" s="136">
        <f t="shared" si="1"/>
        <v>-149.27999999999884</v>
      </c>
      <c r="J29" s="136">
        <f t="shared" si="6"/>
        <v>99.2225</v>
      </c>
      <c r="K29" s="139">
        <f>F29-18415.97</f>
        <v>634.75</v>
      </c>
      <c r="L29" s="139">
        <f>F29/18415.97*100</f>
        <v>103.44673671818536</v>
      </c>
      <c r="M29" s="137">
        <f>E29-вересень!E29</f>
        <v>1300</v>
      </c>
      <c r="N29" s="137">
        <f>F29-вересень!F29</f>
        <v>1310.9600000000028</v>
      </c>
      <c r="O29" s="138">
        <f t="shared" si="3"/>
        <v>10.960000000002765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61461.12</v>
      </c>
      <c r="G30" s="135">
        <f t="shared" si="0"/>
        <v>5681.120000000003</v>
      </c>
      <c r="H30" s="137">
        <f t="shared" si="4"/>
        <v>110.18486912871998</v>
      </c>
      <c r="I30" s="136">
        <f t="shared" si="1"/>
        <v>1161.1200000000026</v>
      </c>
      <c r="J30" s="136">
        <f t="shared" si="6"/>
        <v>101.92557213930348</v>
      </c>
      <c r="K30" s="139">
        <f>F30-49440.11</f>
        <v>12021.010000000002</v>
      </c>
      <c r="L30" s="139">
        <f>F30/49440.11*100</f>
        <v>124.31428651756642</v>
      </c>
      <c r="M30" s="137">
        <f>E30-вересень!E30</f>
        <v>5023.5</v>
      </c>
      <c r="N30" s="137">
        <f>F30-вересень!F30</f>
        <v>7445.1500000000015</v>
      </c>
      <c r="O30" s="138">
        <f t="shared" si="3"/>
        <v>2421.6500000000015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22.86</v>
      </c>
      <c r="G31" s="135">
        <f t="shared" si="0"/>
        <v>22.86</v>
      </c>
      <c r="H31" s="137"/>
      <c r="I31" s="136">
        <f t="shared" si="1"/>
        <v>22.86</v>
      </c>
      <c r="J31" s="136"/>
      <c r="K31" s="139">
        <f>F31-0</f>
        <v>22.86</v>
      </c>
      <c r="L31" s="139"/>
      <c r="M31" s="137">
        <f>E31-вересень!E31</f>
        <v>0</v>
      </c>
      <c r="N31" s="137">
        <f>F31-вересень!F31</f>
        <v>0.019999999999999574</v>
      </c>
      <c r="O31" s="138">
        <f t="shared" si="3"/>
        <v>0.019999999999999574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5586.84</v>
      </c>
      <c r="G32" s="43">
        <f t="shared" si="0"/>
        <v>-172.46000000000004</v>
      </c>
      <c r="H32" s="35">
        <f t="shared" si="4"/>
        <v>97.0055388675707</v>
      </c>
      <c r="I32" s="50">
        <f t="shared" si="1"/>
        <v>-1913.1599999999999</v>
      </c>
      <c r="J32" s="178">
        <f t="shared" si="6"/>
        <v>74.4912</v>
      </c>
      <c r="K32" s="178">
        <f>F32-7378.96</f>
        <v>-1792.12</v>
      </c>
      <c r="L32" s="178">
        <f>F32/7378.96*100</f>
        <v>75.71310862235329</v>
      </c>
      <c r="M32" s="35">
        <f>E32-вересень!E32</f>
        <v>6.900000000000546</v>
      </c>
      <c r="N32" s="35">
        <f>F32-вересень!F32</f>
        <v>7.6599999999998545</v>
      </c>
      <c r="O32" s="47">
        <f t="shared" si="3"/>
        <v>0.7599999999993088</v>
      </c>
      <c r="P32" s="50">
        <f t="shared" si="5"/>
        <v>111.0144927536123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34777.96</v>
      </c>
      <c r="G33" s="44">
        <f t="shared" si="0"/>
        <v>2227.6899999999987</v>
      </c>
      <c r="H33" s="45">
        <f aca="true" t="shared" si="7" ref="H33:H38">F33/E33*100</f>
        <v>106.8438449204876</v>
      </c>
      <c r="I33" s="31">
        <f t="shared" si="1"/>
        <v>-861.6100000000006</v>
      </c>
      <c r="J33" s="31">
        <f t="shared" si="6"/>
        <v>97.58243435597007</v>
      </c>
      <c r="K33" s="18">
        <f>K34+K35+K36+K37+K38+K41+K42+K47+K48+K52+K40</f>
        <v>23993.79</v>
      </c>
      <c r="L33" s="18"/>
      <c r="M33" s="18">
        <f>M34+M35+M36+M37+M38+M41+M42+M47+M48+M52+M40+M39</f>
        <v>5900.27</v>
      </c>
      <c r="N33" s="18">
        <f>N34+N35+N36+N37+N38+N41+N42+N47+N48+N52+N40+N39</f>
        <v>6533.329999999999</v>
      </c>
      <c r="O33" s="49">
        <f t="shared" si="3"/>
        <v>633.0599999999986</v>
      </c>
      <c r="P33" s="31">
        <f>N33/M33*100</f>
        <v>110.72933950480231</v>
      </c>
      <c r="Q33" s="31">
        <f>N33-1017.63</f>
        <v>5515.699999999999</v>
      </c>
      <c r="R33" s="127">
        <f>N33/1017.63</f>
        <v>6.420142881007831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7"/>
        <v>-57.79</v>
      </c>
      <c r="I34" s="50">
        <f t="shared" si="1"/>
        <v>-157.79</v>
      </c>
      <c r="J34" s="50">
        <f t="shared" si="6"/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 t="shared" si="3"/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334.8</v>
      </c>
      <c r="G36" s="43">
        <f t="shared" si="0"/>
        <v>94.80000000000001</v>
      </c>
      <c r="H36" s="35">
        <f t="shared" si="7"/>
        <v>139.5</v>
      </c>
      <c r="I36" s="50">
        <f t="shared" si="1"/>
        <v>94.80000000000001</v>
      </c>
      <c r="J36" s="50"/>
      <c r="K36" s="50">
        <f>F36-279.6</f>
        <v>55.19999999999999</v>
      </c>
      <c r="L36" s="50">
        <f>F36/279.6*100</f>
        <v>119.74248927038627</v>
      </c>
      <c r="M36" s="35">
        <f>E36-вересень!E36</f>
        <v>0</v>
      </c>
      <c r="N36" s="35">
        <f>F36-вересень!F36</f>
        <v>12.819999999999993</v>
      </c>
      <c r="O36" s="47">
        <f t="shared" si="3"/>
        <v>12.819999999999993</v>
      </c>
      <c r="P36" s="50"/>
      <c r="Q36" s="50">
        <f>N36-4.23</f>
        <v>8.589999999999993</v>
      </c>
      <c r="R36" s="126">
        <f>N36/4.23</f>
        <v>3.0307328605200925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255.7</v>
      </c>
      <c r="G38" s="43">
        <f t="shared" si="0"/>
        <v>135.7</v>
      </c>
      <c r="H38" s="35">
        <f t="shared" si="7"/>
        <v>213.08333333333334</v>
      </c>
      <c r="I38" s="50">
        <f t="shared" si="1"/>
        <v>115.69999999999999</v>
      </c>
      <c r="J38" s="50">
        <f t="shared" si="6"/>
        <v>182.64285714285714</v>
      </c>
      <c r="K38" s="50">
        <f>F38-112.45</f>
        <v>143.25</v>
      </c>
      <c r="L38" s="50">
        <f>F38/112.45*100</f>
        <v>227.38995108937306</v>
      </c>
      <c r="M38" s="35">
        <f>E38-вересень!E38</f>
        <v>15</v>
      </c>
      <c r="N38" s="35">
        <f>F38-вересень!F38</f>
        <v>138.58999999999997</v>
      </c>
      <c r="O38" s="47">
        <f t="shared" si="3"/>
        <v>123.58999999999997</v>
      </c>
      <c r="P38" s="50">
        <f>N38/M38*100</f>
        <v>923.933333333333</v>
      </c>
      <c r="Q38" s="50">
        <f>N38-9.02</f>
        <v>129.56999999999996</v>
      </c>
      <c r="R38" s="126">
        <f>N38/9.02</f>
        <v>15.364745011086473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8248.35</v>
      </c>
      <c r="G40" s="43">
        <f t="shared" si="0"/>
        <v>-588.6499999999996</v>
      </c>
      <c r="H40" s="35">
        <f aca="true" t="shared" si="8" ref="H40:H46">F40/E40*100</f>
        <v>93.33880276111803</v>
      </c>
      <c r="I40" s="50">
        <f t="shared" si="1"/>
        <v>-751.6499999999996</v>
      </c>
      <c r="J40" s="50"/>
      <c r="K40" s="50">
        <f>F40-0</f>
        <v>8248.35</v>
      </c>
      <c r="L40" s="50"/>
      <c r="M40" s="35">
        <f>E40-вересень!E40</f>
        <v>900</v>
      </c>
      <c r="N40" s="35">
        <f>F40-вересень!F40</f>
        <v>642.8900000000003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6094.4</v>
      </c>
      <c r="G42" s="43">
        <f t="shared" si="0"/>
        <v>-296.90000000000055</v>
      </c>
      <c r="H42" s="35">
        <f t="shared" si="8"/>
        <v>95.3546226902195</v>
      </c>
      <c r="I42" s="50">
        <f t="shared" si="1"/>
        <v>-1005.6000000000004</v>
      </c>
      <c r="J42" s="50">
        <f t="shared" si="6"/>
        <v>85.83661971830986</v>
      </c>
      <c r="K42" s="50">
        <f>F42-865.17</f>
        <v>5229.23</v>
      </c>
      <c r="L42" s="50">
        <f>F42/865.17*100</f>
        <v>704.4164730630973</v>
      </c>
      <c r="M42" s="35">
        <f>E42-вересень!E42</f>
        <v>592.3000000000002</v>
      </c>
      <c r="N42" s="35">
        <f>F42-вересень!F42</f>
        <v>372.4499999999998</v>
      </c>
      <c r="O42" s="47">
        <f t="shared" si="3"/>
        <v>-219.85000000000036</v>
      </c>
      <c r="P42" s="50">
        <f>N42/M42*100</f>
        <v>62.88198548033086</v>
      </c>
      <c r="Q42" s="50">
        <f>N42-79.51</f>
        <v>292.9399999999998</v>
      </c>
      <c r="R42" s="126">
        <f>N42/79.51</f>
        <v>4.684316438183874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857.1</v>
      </c>
      <c r="G43" s="135">
        <f t="shared" si="0"/>
        <v>-52.89999999999998</v>
      </c>
      <c r="H43" s="35">
        <f t="shared" si="8"/>
        <v>94.1868131868132</v>
      </c>
      <c r="I43" s="136">
        <f t="shared" si="1"/>
        <v>-242.89999999999998</v>
      </c>
      <c r="J43" s="136">
        <f t="shared" si="6"/>
        <v>77.91818181818182</v>
      </c>
      <c r="K43" s="136">
        <f>F43-757.36</f>
        <v>99.74000000000001</v>
      </c>
      <c r="L43" s="136">
        <f>F43/757.36*100</f>
        <v>113.16943065385021</v>
      </c>
      <c r="M43" s="137">
        <f>E43-вересень!E43</f>
        <v>70</v>
      </c>
      <c r="N43" s="137">
        <f>F43-вересень!F43</f>
        <v>55.25999999999999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44.07</v>
      </c>
      <c r="G44" s="135">
        <f t="shared" si="0"/>
        <v>-25.93</v>
      </c>
      <c r="H44" s="35">
        <f t="shared" si="8"/>
        <v>62.957142857142856</v>
      </c>
      <c r="I44" s="136">
        <f t="shared" si="1"/>
        <v>-35.93</v>
      </c>
      <c r="J44" s="136"/>
      <c r="K44" s="136">
        <f>F44-0</f>
        <v>44.07</v>
      </c>
      <c r="L44" s="136"/>
      <c r="M44" s="137">
        <f>E44-вересень!E44</f>
        <v>10</v>
      </c>
      <c r="N44" s="137">
        <f>F44-вересень!F44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5192.48</v>
      </c>
      <c r="G46" s="135">
        <f t="shared" si="0"/>
        <v>-217.52000000000044</v>
      </c>
      <c r="H46" s="35">
        <f t="shared" si="8"/>
        <v>95.9792975970425</v>
      </c>
      <c r="I46" s="136">
        <f t="shared" si="1"/>
        <v>-725.5200000000004</v>
      </c>
      <c r="J46" s="136">
        <f t="shared" si="6"/>
        <v>87.74045285569449</v>
      </c>
      <c r="K46" s="136">
        <f>F46-107.81</f>
        <v>5084.669999999999</v>
      </c>
      <c r="L46" s="136">
        <f>F46/107.81*100</f>
        <v>4816.32501623226</v>
      </c>
      <c r="M46" s="137">
        <f>E46-вересень!E46</f>
        <v>512</v>
      </c>
      <c r="N46" s="137">
        <f>F46-вересень!F46</f>
        <v>317.1899999999996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3950.81</v>
      </c>
      <c r="G48" s="43">
        <f t="shared" si="0"/>
        <v>500.80999999999995</v>
      </c>
      <c r="H48" s="35">
        <f>F48/E48*100</f>
        <v>114.51623188405797</v>
      </c>
      <c r="I48" s="50">
        <f t="shared" si="1"/>
        <v>-249.19000000000005</v>
      </c>
      <c r="J48" s="50">
        <f>F48/D48*100</f>
        <v>94.06690476190475</v>
      </c>
      <c r="K48" s="50">
        <f>F48-3446.94</f>
        <v>503.8699999999999</v>
      </c>
      <c r="L48" s="50">
        <f>F48/3446.94*100</f>
        <v>114.61789297173726</v>
      </c>
      <c r="M48" s="35">
        <f>E48-вересень!E48</f>
        <v>360</v>
      </c>
      <c r="N48" s="35">
        <f>F48-вересень!F48</f>
        <v>379.3600000000001</v>
      </c>
      <c r="O48" s="47">
        <f t="shared" si="3"/>
        <v>19.360000000000127</v>
      </c>
      <c r="P48" s="50">
        <f aca="true" t="shared" si="9" ref="P48:P53">N48/M48*100</f>
        <v>105.37777777777781</v>
      </c>
      <c r="Q48" s="50">
        <f>N48-277.38</f>
        <v>101.98000000000013</v>
      </c>
      <c r="R48" s="126">
        <f>N48/277.38</f>
        <v>1.3676544812171034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1040.8</v>
      </c>
      <c r="G51" s="135">
        <f t="shared" si="0"/>
        <v>1040.8</v>
      </c>
      <c r="H51" s="137"/>
      <c r="I51" s="136">
        <f t="shared" si="1"/>
        <v>1040.8</v>
      </c>
      <c r="J51" s="136"/>
      <c r="K51" s="219">
        <f>F51-838.39</f>
        <v>202.40999999999997</v>
      </c>
      <c r="L51" s="219">
        <f>F51/838.39*100</f>
        <v>124.14270208375578</v>
      </c>
      <c r="M51" s="35">
        <f>E51-вересень!E51</f>
        <v>0</v>
      </c>
      <c r="N51" s="35">
        <f>F51-вересень!F51</f>
        <v>61.59999999999991</v>
      </c>
      <c r="O51" s="138">
        <f t="shared" si="3"/>
        <v>61.59999999999991</v>
      </c>
      <c r="P51" s="136"/>
      <c r="Q51" s="50">
        <f>N51-64.93</f>
        <v>-3.3300000000000978</v>
      </c>
      <c r="R51" s="126">
        <f>N51/64.93</f>
        <v>0.9487139996919745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18.42</v>
      </c>
      <c r="G53" s="43">
        <f t="shared" si="0"/>
        <v>-3.1799999999999997</v>
      </c>
      <c r="H53" s="35">
        <f>F53/E53*100</f>
        <v>85.27777777777777</v>
      </c>
      <c r="I53" s="50">
        <f t="shared" si="1"/>
        <v>-8.079999999999998</v>
      </c>
      <c r="J53" s="50">
        <f>F53/D53*100</f>
        <v>69.50943396226415</v>
      </c>
      <c r="K53" s="50">
        <f>F53-21.71</f>
        <v>-3.289999999999999</v>
      </c>
      <c r="L53" s="50">
        <f>F53/21.71*100</f>
        <v>84.84569322892676</v>
      </c>
      <c r="M53" s="35">
        <f>E53-вересень!E53</f>
        <v>2.200000000000003</v>
      </c>
      <c r="N53" s="35">
        <f>F53-вересень!F53</f>
        <v>4.000000000000002</v>
      </c>
      <c r="O53" s="47">
        <f t="shared" si="3"/>
        <v>1.799999999999999</v>
      </c>
      <c r="P53" s="50">
        <f t="shared" si="9"/>
        <v>181.81818181818164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555581.6700000002</v>
      </c>
      <c r="G55" s="44">
        <f>F55-E55</f>
        <v>19484.33000000019</v>
      </c>
      <c r="H55" s="45">
        <f>F55/E55*100</f>
        <v>103.63447615688601</v>
      </c>
      <c r="I55" s="31">
        <f>F55-D55</f>
        <v>-52373.39999999979</v>
      </c>
      <c r="J55" s="31">
        <f>F55/D55*100</f>
        <v>91.3853173393225</v>
      </c>
      <c r="K55" s="31">
        <f>K8+K33+K53+K54</f>
        <v>143550.578</v>
      </c>
      <c r="L55" s="31">
        <f>F55/(F55-K55)*100</f>
        <v>134.8397440841673</v>
      </c>
      <c r="M55" s="18">
        <f>M8+M33+M53+M54</f>
        <v>50675.44</v>
      </c>
      <c r="N55" s="18">
        <f>N8+N33+N53+N54</f>
        <v>46443.060000000056</v>
      </c>
      <c r="O55" s="49">
        <f>N55-M55</f>
        <v>-4232.379999999946</v>
      </c>
      <c r="P55" s="31">
        <f>N55/M55*100</f>
        <v>91.64806462459933</v>
      </c>
      <c r="Q55" s="31">
        <f>N55-34768</f>
        <v>11675.060000000056</v>
      </c>
      <c r="R55" s="171">
        <f>N55/34768</f>
        <v>1.335799010584447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593.11</v>
      </c>
      <c r="G64" s="43">
        <f t="shared" si="10"/>
        <v>-1006.89</v>
      </c>
      <c r="H64" s="35"/>
      <c r="I64" s="53">
        <f t="shared" si="11"/>
        <v>-1906.8899999999999</v>
      </c>
      <c r="J64" s="53">
        <f t="shared" si="13"/>
        <v>23.724400000000003</v>
      </c>
      <c r="K64" s="53">
        <f>F64-1754.79</f>
        <v>-1161.6799999999998</v>
      </c>
      <c r="L64" s="53">
        <f>F64/1754.79*100</f>
        <v>33.79948597837918</v>
      </c>
      <c r="M64" s="35">
        <f>E64-вересень!E64</f>
        <v>0</v>
      </c>
      <c r="N64" s="35">
        <f>F64-вересень!F64</f>
        <v>0.009999999999990905</v>
      </c>
      <c r="O64" s="47">
        <f t="shared" si="12"/>
        <v>0.009999999999990905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7124.78</v>
      </c>
      <c r="G65" s="43">
        <f t="shared" si="10"/>
        <v>388.8000000000002</v>
      </c>
      <c r="H65" s="35">
        <f>F65/E65*100</f>
        <v>105.77198863417053</v>
      </c>
      <c r="I65" s="53">
        <f t="shared" si="11"/>
        <v>-4451.22</v>
      </c>
      <c r="J65" s="53">
        <f t="shared" si="13"/>
        <v>61.54785763648929</v>
      </c>
      <c r="K65" s="53">
        <f>F65-2762.1</f>
        <v>4362.68</v>
      </c>
      <c r="L65" s="53">
        <f>F65/2762.1*100</f>
        <v>257.94793816299193</v>
      </c>
      <c r="M65" s="35">
        <f>E65-вересень!E65</f>
        <v>1273.8199999999997</v>
      </c>
      <c r="N65" s="35">
        <f>F65-вересень!F65</f>
        <v>3137.1499999999996</v>
      </c>
      <c r="O65" s="47">
        <f t="shared" si="12"/>
        <v>1863.33</v>
      </c>
      <c r="P65" s="53">
        <f>N65/M65*100</f>
        <v>246.27890910803728</v>
      </c>
      <c r="Q65" s="53">
        <f>N65-450.01</f>
        <v>2687.1399999999994</v>
      </c>
      <c r="R65" s="129">
        <f>N65/450.01</f>
        <v>6.971289526899402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1879.52</v>
      </c>
      <c r="G66" s="43">
        <f t="shared" si="10"/>
        <v>546.6199999999999</v>
      </c>
      <c r="H66" s="35">
        <f>F66/E66*100</f>
        <v>141.0098281941631</v>
      </c>
      <c r="I66" s="53">
        <f t="shared" si="11"/>
        <v>-1120.48</v>
      </c>
      <c r="J66" s="53">
        <f t="shared" si="13"/>
        <v>62.650666666666666</v>
      </c>
      <c r="K66" s="53">
        <f>F66-1134.02</f>
        <v>745.5</v>
      </c>
      <c r="L66" s="53">
        <f>F66/1134.02*100</f>
        <v>165.7395813124989</v>
      </c>
      <c r="M66" s="35">
        <f>E66-вересень!E66</f>
        <v>148.10000000000014</v>
      </c>
      <c r="N66" s="35">
        <f>F66-вересень!F66</f>
        <v>20.440000000000055</v>
      </c>
      <c r="O66" s="47">
        <f t="shared" si="12"/>
        <v>-127.66000000000008</v>
      </c>
      <c r="P66" s="53">
        <f>N66/M66*100</f>
        <v>13.801485482781928</v>
      </c>
      <c r="Q66" s="53">
        <f>N66-1.05</f>
        <v>19.390000000000054</v>
      </c>
      <c r="R66" s="129">
        <f>N66/1.05</f>
        <v>19.46666666666672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9597.41</v>
      </c>
      <c r="G67" s="55">
        <f t="shared" si="10"/>
        <v>-71.46999999999935</v>
      </c>
      <c r="H67" s="65">
        <f>F67/E67*100</f>
        <v>99.26082441813323</v>
      </c>
      <c r="I67" s="54">
        <f t="shared" si="11"/>
        <v>-7478.59</v>
      </c>
      <c r="J67" s="54">
        <f t="shared" si="13"/>
        <v>56.204087608339194</v>
      </c>
      <c r="K67" s="54">
        <f>K64+K65+K66</f>
        <v>3946.5000000000005</v>
      </c>
      <c r="L67" s="54"/>
      <c r="M67" s="55">
        <f>M64+M65+M66</f>
        <v>1421.9199999999998</v>
      </c>
      <c r="N67" s="55">
        <f>N64+N65+N66</f>
        <v>3157.6</v>
      </c>
      <c r="O67" s="54">
        <f t="shared" si="12"/>
        <v>1735.68</v>
      </c>
      <c r="P67" s="54">
        <f>N67/M67*100</f>
        <v>222.06593901204008</v>
      </c>
      <c r="Q67" s="54">
        <f>N67-7985.28</f>
        <v>-4827.68</v>
      </c>
      <c r="R67" s="173">
        <f>N67/7985.28</f>
        <v>0.39542758675963774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1.02</v>
      </c>
      <c r="G70" s="43">
        <f>F70-E70</f>
        <v>1.02</v>
      </c>
      <c r="H70" s="35"/>
      <c r="I70" s="53">
        <f>F70-D70</f>
        <v>1.02</v>
      </c>
      <c r="J70" s="53"/>
      <c r="K70" s="53">
        <f>F70-1.29</f>
        <v>-0.27</v>
      </c>
      <c r="L70" s="53">
        <f>F70/1.29*100</f>
        <v>79.06976744186046</v>
      </c>
      <c r="M70" s="35">
        <f>E70-вересень!E70</f>
        <v>0</v>
      </c>
      <c r="N70" s="35">
        <f>F70-вересень!F70</f>
        <v>0.020000000000000018</v>
      </c>
      <c r="O70" s="47">
        <f>N70-M70</f>
        <v>0.020000000000000018</v>
      </c>
      <c r="P70" s="53"/>
      <c r="Q70" s="53">
        <f>N70-(-0.21)</f>
        <v>0.23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1.37</v>
      </c>
      <c r="G71" s="55">
        <f>F71-E71</f>
        <v>-47.63</v>
      </c>
      <c r="H71" s="65">
        <f>F71/E71*100</f>
        <v>2.795918367346939</v>
      </c>
      <c r="I71" s="54">
        <f>F71-D71</f>
        <v>-52.63</v>
      </c>
      <c r="J71" s="54">
        <f>F71/D71*100</f>
        <v>2.537037037037037</v>
      </c>
      <c r="K71" s="54">
        <f>K68+K69+K70</f>
        <v>-54.410000000000004</v>
      </c>
      <c r="L71" s="54"/>
      <c r="M71" s="55">
        <f>M68+M70+M69</f>
        <v>12</v>
      </c>
      <c r="N71" s="55">
        <f>N68+N70+N69</f>
        <v>0.020000000000000018</v>
      </c>
      <c r="O71" s="54">
        <f>N71-M71</f>
        <v>-11.98</v>
      </c>
      <c r="P71" s="54"/>
      <c r="Q71" s="54">
        <f>N71-26.38</f>
        <v>-26.36</v>
      </c>
      <c r="R71" s="128">
        <f>N71/26.38</f>
        <v>0.0007581501137225178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29.66</v>
      </c>
      <c r="G72" s="43">
        <f>F72-E72</f>
        <v>-3.7600000000000016</v>
      </c>
      <c r="H72" s="35">
        <f>F72/E72*100</f>
        <v>88.74925194494314</v>
      </c>
      <c r="I72" s="53">
        <f>F72-D72</f>
        <v>-12.34</v>
      </c>
      <c r="J72" s="53">
        <f>F72/D72*100</f>
        <v>70.61904761904762</v>
      </c>
      <c r="K72" s="53">
        <f>F72-33.03</f>
        <v>-3.370000000000001</v>
      </c>
      <c r="L72" s="53">
        <f>F72/33.03*100</f>
        <v>89.7971541023312</v>
      </c>
      <c r="M72" s="35">
        <f>E72-вересень!E72</f>
        <v>1.2000000000000028</v>
      </c>
      <c r="N72" s="35">
        <f>F72-вересень!F72</f>
        <v>0.4400000000000013</v>
      </c>
      <c r="O72" s="47">
        <f>N72-M72</f>
        <v>-0.7600000000000016</v>
      </c>
      <c r="P72" s="53">
        <f>N72/M72*100</f>
        <v>36.666666666666686</v>
      </c>
      <c r="Q72" s="53">
        <f>N72-0.45</f>
        <v>-0.009999999999998732</v>
      </c>
      <c r="R72" s="129">
        <f>N72/0.45</f>
        <v>0.9777777777777806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9573.890000000001</v>
      </c>
      <c r="G74" s="44">
        <f>F74-E74</f>
        <v>-177.40999999999804</v>
      </c>
      <c r="H74" s="45">
        <f>F74/E74*100</f>
        <v>98.18065283603214</v>
      </c>
      <c r="I74" s="31">
        <f>F74-D74</f>
        <v>-7598.109999999999</v>
      </c>
      <c r="J74" s="31">
        <f>F74/D74*100</f>
        <v>55.7529117167482</v>
      </c>
      <c r="K74" s="31">
        <f>K62+K67+K71+K72</f>
        <v>3570.7200000000007</v>
      </c>
      <c r="L74" s="31"/>
      <c r="M74" s="27">
        <f>M62+M72+M67+M71</f>
        <v>1435.12</v>
      </c>
      <c r="N74" s="27">
        <f>N62+N72+N67+N71+N73</f>
        <v>3155.0099999999998</v>
      </c>
      <c r="O74" s="31">
        <f>N74-M74</f>
        <v>1719.8899999999999</v>
      </c>
      <c r="P74" s="31">
        <f>N74/M74*100</f>
        <v>219.84293996320866</v>
      </c>
      <c r="Q74" s="31">
        <f>N74-8104.96</f>
        <v>-4949.950000000001</v>
      </c>
      <c r="R74" s="127">
        <f>N74/8104.96</f>
        <v>0.3892690401926721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565155.5600000002</v>
      </c>
      <c r="G75" s="44">
        <f>F75-E75</f>
        <v>19306.92000000016</v>
      </c>
      <c r="H75" s="45">
        <f>F75/E75*100</f>
        <v>103.53704646035212</v>
      </c>
      <c r="I75" s="31">
        <f>F75-D75</f>
        <v>-59971.50999999978</v>
      </c>
      <c r="J75" s="31">
        <f>F75/D75*100</f>
        <v>90.40650887186827</v>
      </c>
      <c r="K75" s="31">
        <f>K55+K74</f>
        <v>147121.298</v>
      </c>
      <c r="L75" s="31">
        <f>F75/(F75-K75)*100</f>
        <v>135.19359807881008</v>
      </c>
      <c r="M75" s="18">
        <f>M55+M74</f>
        <v>52110.560000000005</v>
      </c>
      <c r="N75" s="18">
        <f>N55+N74</f>
        <v>49598.07000000006</v>
      </c>
      <c r="O75" s="31">
        <f>N75-M75</f>
        <v>-2512.489999999947</v>
      </c>
      <c r="P75" s="31">
        <f>N75/M75*100</f>
        <v>95.17853962805246</v>
      </c>
      <c r="Q75" s="31">
        <f>N75-42872.96</f>
        <v>6725.110000000059</v>
      </c>
      <c r="R75" s="127">
        <f>N75/42872.96</f>
        <v>1.1568613410410677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4</v>
      </c>
      <c r="D77" s="4" t="s">
        <v>118</v>
      </c>
    </row>
    <row r="78" spans="2:17" ht="31.5">
      <c r="B78" s="71" t="s">
        <v>154</v>
      </c>
      <c r="C78" s="34">
        <f>IF(O55&lt;0,ABS(O55/C77),0)</f>
        <v>1058.0949999999866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42303</v>
      </c>
      <c r="D79" s="34">
        <v>2951.6</v>
      </c>
      <c r="G79" s="4" t="s">
        <v>166</v>
      </c>
      <c r="N79" s="236"/>
      <c r="O79" s="236"/>
    </row>
    <row r="80" spans="3:15" ht="15.75">
      <c r="C80" s="111">
        <v>42300</v>
      </c>
      <c r="D80" s="34">
        <v>3534.5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42299</v>
      </c>
      <c r="D81" s="34">
        <v>3547.2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1.4210999999999998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3" right="0.23" top="0.36" bottom="0.39" header="0.24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220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219</v>
      </c>
      <c r="F4" s="245" t="s">
        <v>116</v>
      </c>
      <c r="G4" s="247" t="s">
        <v>173</v>
      </c>
      <c r="H4" s="280" t="s">
        <v>174</v>
      </c>
      <c r="I4" s="278" t="s">
        <v>217</v>
      </c>
      <c r="J4" s="276" t="s">
        <v>218</v>
      </c>
      <c r="K4" s="116" t="s">
        <v>172</v>
      </c>
      <c r="L4" s="121" t="s">
        <v>171</v>
      </c>
      <c r="M4" s="241"/>
      <c r="N4" s="226" t="s">
        <v>194</v>
      </c>
      <c r="O4" s="278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81"/>
      <c r="I5" s="279"/>
      <c r="J5" s="277"/>
      <c r="K5" s="238" t="s">
        <v>188</v>
      </c>
      <c r="L5" s="239"/>
      <c r="M5" s="242"/>
      <c r="N5" s="227"/>
      <c r="O5" s="279"/>
      <c r="P5" s="262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0"/>
      <c r="H102" s="240"/>
      <c r="I102" s="240"/>
      <c r="J102" s="24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6"/>
      <c r="O103" s="236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4" t="s">
        <v>161</v>
      </c>
      <c r="K104" s="274"/>
      <c r="L104" s="274"/>
      <c r="M104" s="274"/>
      <c r="N104" s="236"/>
      <c r="O104" s="236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75" t="s">
        <v>162</v>
      </c>
      <c r="K105" s="275"/>
      <c r="L105" s="275"/>
      <c r="M105" s="275"/>
      <c r="N105" s="236"/>
      <c r="O105" s="236"/>
    </row>
    <row r="106" spans="7:13" ht="15.75" customHeight="1">
      <c r="G106" s="265" t="s">
        <v>148</v>
      </c>
      <c r="H106" s="265"/>
      <c r="I106" s="103">
        <f>'січень '!I141</f>
        <v>0</v>
      </c>
      <c r="J106" s="274" t="s">
        <v>163</v>
      </c>
      <c r="K106" s="274"/>
      <c r="L106" s="274"/>
      <c r="M106" s="274"/>
    </row>
    <row r="107" spans="2:13" ht="18.75" customHeight="1">
      <c r="B107" s="232" t="s">
        <v>160</v>
      </c>
      <c r="C107" s="233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4" t="s">
        <v>164</v>
      </c>
      <c r="K107" s="274"/>
      <c r="L107" s="274"/>
      <c r="M107" s="274"/>
    </row>
    <row r="108" spans="7:12" ht="9.75" customHeight="1">
      <c r="G108" s="228"/>
      <c r="H108" s="228"/>
      <c r="I108" s="90"/>
      <c r="J108" s="91"/>
      <c r="K108" s="91"/>
      <c r="L108" s="91"/>
    </row>
    <row r="109" spans="2:12" ht="22.5" customHeight="1" hidden="1">
      <c r="B109" s="229" t="s">
        <v>167</v>
      </c>
      <c r="C109" s="230"/>
      <c r="D109" s="110">
        <v>0</v>
      </c>
      <c r="E109" s="70" t="s">
        <v>104</v>
      </c>
      <c r="G109" s="228"/>
      <c r="H109" s="228"/>
      <c r="I109" s="90"/>
      <c r="J109" s="91"/>
      <c r="K109" s="91"/>
      <c r="L109" s="91"/>
    </row>
    <row r="110" spans="4:15" ht="15.75">
      <c r="D110" s="105"/>
      <c r="N110" s="228"/>
      <c r="O110" s="228"/>
    </row>
    <row r="111" spans="4:15" ht="15.75">
      <c r="D111" s="104"/>
      <c r="I111" s="34"/>
      <c r="N111" s="231"/>
      <c r="O111" s="231"/>
    </row>
    <row r="112" spans="14:15" ht="15.75">
      <c r="N112" s="228"/>
      <c r="O112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203</v>
      </c>
      <c r="C3" s="256" t="s">
        <v>0</v>
      </c>
      <c r="D3" s="257" t="s">
        <v>190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187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153</v>
      </c>
      <c r="F4" s="245" t="s">
        <v>116</v>
      </c>
      <c r="G4" s="247" t="s">
        <v>173</v>
      </c>
      <c r="H4" s="280" t="s">
        <v>174</v>
      </c>
      <c r="I4" s="278" t="s">
        <v>186</v>
      </c>
      <c r="J4" s="276" t="s">
        <v>189</v>
      </c>
      <c r="K4" s="116" t="s">
        <v>172</v>
      </c>
      <c r="L4" s="121" t="s">
        <v>171</v>
      </c>
      <c r="M4" s="241"/>
      <c r="N4" s="226" t="s">
        <v>194</v>
      </c>
      <c r="O4" s="278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81"/>
      <c r="I5" s="279"/>
      <c r="J5" s="277"/>
      <c r="K5" s="238" t="s">
        <v>188</v>
      </c>
      <c r="L5" s="239"/>
      <c r="M5" s="242"/>
      <c r="N5" s="227"/>
      <c r="O5" s="279"/>
      <c r="P5" s="262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0"/>
      <c r="H137" s="240"/>
      <c r="I137" s="240"/>
      <c r="J137" s="24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6"/>
      <c r="O138" s="236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4" t="s">
        <v>161</v>
      </c>
      <c r="K139" s="274"/>
      <c r="L139" s="274"/>
      <c r="M139" s="274"/>
      <c r="N139" s="236"/>
      <c r="O139" s="236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75" t="s">
        <v>162</v>
      </c>
      <c r="K140" s="275"/>
      <c r="L140" s="275"/>
      <c r="M140" s="275"/>
      <c r="N140" s="236"/>
      <c r="O140" s="236"/>
    </row>
    <row r="141" spans="7:13" ht="15.75" customHeight="1">
      <c r="G141" s="265" t="s">
        <v>148</v>
      </c>
      <c r="H141" s="265"/>
      <c r="I141" s="103">
        <v>0</v>
      </c>
      <c r="J141" s="274" t="s">
        <v>163</v>
      </c>
      <c r="K141" s="274"/>
      <c r="L141" s="274"/>
      <c r="M141" s="274"/>
    </row>
    <row r="142" spans="2:13" ht="18.75" customHeight="1">
      <c r="B142" s="232" t="s">
        <v>160</v>
      </c>
      <c r="C142" s="233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4" t="s">
        <v>164</v>
      </c>
      <c r="K142" s="274"/>
      <c r="L142" s="274"/>
      <c r="M142" s="274"/>
    </row>
    <row r="143" spans="7:12" ht="9.75" customHeight="1">
      <c r="G143" s="228"/>
      <c r="H143" s="228"/>
      <c r="I143" s="90"/>
      <c r="J143" s="91"/>
      <c r="K143" s="91"/>
      <c r="L143" s="91"/>
    </row>
    <row r="144" spans="2:12" ht="22.5" customHeight="1" hidden="1">
      <c r="B144" s="229" t="s">
        <v>167</v>
      </c>
      <c r="C144" s="230"/>
      <c r="D144" s="110">
        <v>0</v>
      </c>
      <c r="E144" s="70" t="s">
        <v>104</v>
      </c>
      <c r="G144" s="228"/>
      <c r="H144" s="228"/>
      <c r="I144" s="90"/>
      <c r="J144" s="91"/>
      <c r="K144" s="91"/>
      <c r="L144" s="91"/>
    </row>
    <row r="145" spans="4:15" ht="15.75">
      <c r="D145" s="105"/>
      <c r="N145" s="228"/>
      <c r="O145" s="228"/>
    </row>
    <row r="146" spans="4:15" ht="15.75">
      <c r="D146" s="104"/>
      <c r="I146" s="34"/>
      <c r="N146" s="231"/>
      <c r="O146" s="231"/>
    </row>
    <row r="147" spans="14:15" ht="15.75">
      <c r="N147" s="228"/>
      <c r="O147" s="228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4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303</v>
      </c>
      <c r="N3" s="262" t="s">
        <v>304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298</v>
      </c>
      <c r="F4" s="245" t="s">
        <v>116</v>
      </c>
      <c r="G4" s="247" t="s">
        <v>299</v>
      </c>
      <c r="H4" s="249" t="s">
        <v>300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306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302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36"/>
      <c r="O79" s="236"/>
    </row>
    <row r="80" spans="3:15" ht="15.75">
      <c r="C80" s="111">
        <v>42276</v>
      </c>
      <c r="D80" s="34">
        <v>6511.1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42275</v>
      </c>
      <c r="D81" s="34">
        <v>4229.6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f>1507100.82/1000</f>
        <v>1507.10082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2" sqref="F5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293</v>
      </c>
      <c r="N3" s="262" t="s">
        <v>294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291</v>
      </c>
      <c r="F4" s="245" t="s">
        <v>116</v>
      </c>
      <c r="G4" s="247" t="s">
        <v>292</v>
      </c>
      <c r="H4" s="249" t="s">
        <v>301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297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295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6"/>
      <c r="O79" s="236"/>
    </row>
    <row r="80" spans="3:15" ht="15.75">
      <c r="C80" s="111">
        <v>42244</v>
      </c>
      <c r="D80" s="34">
        <v>8323.9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42243</v>
      </c>
      <c r="D81" s="34">
        <v>4177.3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2162.07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285</v>
      </c>
      <c r="N3" s="262" t="s">
        <v>286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282</v>
      </c>
      <c r="F4" s="245" t="s">
        <v>116</v>
      </c>
      <c r="G4" s="247" t="s">
        <v>283</v>
      </c>
      <c r="H4" s="249" t="s">
        <v>284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287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6"/>
      <c r="O79" s="236"/>
    </row>
    <row r="80" spans="3:15" ht="15.75">
      <c r="C80" s="111">
        <v>42215</v>
      </c>
      <c r="D80" s="34">
        <v>7239.9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8" t="s">
        <v>280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17"/>
      <c r="R1" s="118"/>
    </row>
    <row r="2" spans="2:18" s="1" customFormat="1" ht="15.75" customHeight="1">
      <c r="B2" s="252"/>
      <c r="C2" s="252"/>
      <c r="D2" s="252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277</v>
      </c>
      <c r="N3" s="262" t="s">
        <v>278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279</v>
      </c>
      <c r="F4" s="269" t="s">
        <v>116</v>
      </c>
      <c r="G4" s="247" t="s">
        <v>275</v>
      </c>
      <c r="H4" s="249" t="s">
        <v>276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281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0"/>
      <c r="G5" s="248"/>
      <c r="H5" s="250"/>
      <c r="I5" s="243"/>
      <c r="J5" s="242"/>
      <c r="K5" s="238" t="s">
        <v>288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6"/>
      <c r="O79" s="236"/>
    </row>
    <row r="80" spans="3:15" ht="15.75">
      <c r="C80" s="111">
        <v>42181</v>
      </c>
      <c r="D80" s="34">
        <v>8722.4</v>
      </c>
      <c r="F80" s="217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266</v>
      </c>
      <c r="N3" s="262" t="s">
        <v>267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262</v>
      </c>
      <c r="F4" s="245" t="s">
        <v>116</v>
      </c>
      <c r="G4" s="247" t="s">
        <v>263</v>
      </c>
      <c r="H4" s="249" t="s">
        <v>264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273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265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6"/>
      <c r="O79" s="236"/>
    </row>
    <row r="80" spans="3:15" ht="15.75">
      <c r="C80" s="111">
        <v>42152</v>
      </c>
      <c r="D80" s="34">
        <v>5845.4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7:13" ht="15.75" customHeight="1"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240</v>
      </c>
      <c r="N3" s="262" t="s">
        <v>241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237</v>
      </c>
      <c r="F4" s="271" t="s">
        <v>116</v>
      </c>
      <c r="G4" s="247" t="s">
        <v>238</v>
      </c>
      <c r="H4" s="249" t="s">
        <v>239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260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2"/>
      <c r="G5" s="248"/>
      <c r="H5" s="250"/>
      <c r="I5" s="243"/>
      <c r="J5" s="242"/>
      <c r="K5" s="238" t="s">
        <v>242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0"/>
      <c r="H103" s="240"/>
      <c r="I103" s="240"/>
      <c r="J103" s="24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6"/>
      <c r="O104" s="236"/>
    </row>
    <row r="105" spans="3:15" ht="15.75">
      <c r="C105" s="111">
        <v>42123</v>
      </c>
      <c r="D105" s="34">
        <v>7959.6</v>
      </c>
      <c r="F105" s="201" t="s">
        <v>166</v>
      </c>
      <c r="G105" s="228"/>
      <c r="H105" s="228"/>
      <c r="I105" s="177"/>
      <c r="J105" s="234"/>
      <c r="K105" s="234"/>
      <c r="L105" s="234"/>
      <c r="M105" s="234"/>
      <c r="N105" s="236"/>
      <c r="O105" s="236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35"/>
      <c r="K106" s="235"/>
      <c r="L106" s="235"/>
      <c r="M106" s="235"/>
      <c r="N106" s="236"/>
      <c r="O106" s="236"/>
    </row>
    <row r="107" spans="7:13" ht="15.75" customHeight="1">
      <c r="G107" s="266" t="s">
        <v>234</v>
      </c>
      <c r="H107" s="267"/>
      <c r="I107" s="103">
        <v>0</v>
      </c>
      <c r="J107" s="234"/>
      <c r="K107" s="234"/>
      <c r="L107" s="234"/>
      <c r="M107" s="234"/>
    </row>
    <row r="108" spans="2:13" ht="18.75" customHeight="1">
      <c r="B108" s="232" t="s">
        <v>160</v>
      </c>
      <c r="C108" s="233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34"/>
      <c r="K108" s="234"/>
      <c r="L108" s="234"/>
      <c r="M108" s="234"/>
    </row>
    <row r="109" spans="7:12" ht="9.75" customHeight="1">
      <c r="G109" s="228"/>
      <c r="H109" s="228"/>
      <c r="I109" s="90"/>
      <c r="J109" s="91"/>
      <c r="K109" s="91"/>
      <c r="L109" s="91"/>
    </row>
    <row r="110" spans="2:12" ht="22.5" customHeight="1" hidden="1">
      <c r="B110" s="229" t="s">
        <v>167</v>
      </c>
      <c r="C110" s="230"/>
      <c r="D110" s="110">
        <v>0</v>
      </c>
      <c r="E110" s="70" t="s">
        <v>104</v>
      </c>
      <c r="G110" s="228"/>
      <c r="H110" s="228"/>
      <c r="I110" s="90"/>
      <c r="J110" s="91"/>
      <c r="K110" s="91"/>
      <c r="L110" s="91"/>
    </row>
    <row r="111" spans="4:15" ht="15.75">
      <c r="D111" s="105"/>
      <c r="N111" s="228"/>
      <c r="O111" s="228"/>
    </row>
    <row r="112" spans="4:15" ht="15.75">
      <c r="D112" s="104"/>
      <c r="I112" s="34"/>
      <c r="N112" s="231"/>
      <c r="O112" s="231"/>
    </row>
    <row r="113" spans="14:15" ht="15.75">
      <c r="N113" s="228"/>
      <c r="O113" s="228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231</v>
      </c>
      <c r="N3" s="262" t="s">
        <v>232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228</v>
      </c>
      <c r="F4" s="245" t="s">
        <v>116</v>
      </c>
      <c r="G4" s="247" t="s">
        <v>229</v>
      </c>
      <c r="H4" s="249" t="s">
        <v>230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236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233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6"/>
      <c r="O105" s="236"/>
    </row>
    <row r="106" spans="3:15" ht="15.75">
      <c r="C106" s="111">
        <v>42093</v>
      </c>
      <c r="D106" s="34">
        <v>8025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66" t="s">
        <v>234</v>
      </c>
      <c r="H108" s="267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221</v>
      </c>
      <c r="N3" s="262" t="s">
        <v>202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199</v>
      </c>
      <c r="F4" s="245" t="s">
        <v>116</v>
      </c>
      <c r="G4" s="247" t="s">
        <v>200</v>
      </c>
      <c r="H4" s="249" t="s">
        <v>201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226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224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6"/>
      <c r="O105" s="236"/>
    </row>
    <row r="106" spans="3:15" ht="15.75">
      <c r="C106" s="111">
        <v>42061</v>
      </c>
      <c r="D106" s="34">
        <v>6003.3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73" t="s">
        <v>155</v>
      </c>
      <c r="H108" s="273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2015-10-27T13:08:43Z</cp:lastPrinted>
  <dcterms:created xsi:type="dcterms:W3CDTF">2003-07-28T11:27:56Z</dcterms:created>
  <dcterms:modified xsi:type="dcterms:W3CDTF">2015-10-27T13:17:42Z</dcterms:modified>
  <cp:category/>
  <cp:version/>
  <cp:contentType/>
  <cp:contentStatus/>
</cp:coreProperties>
</file>